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10185" activeTab="0"/>
  </bookViews>
  <sheets>
    <sheet name="Calculations" sheetId="1" r:id="rId1"/>
    <sheet name="SL0332" sheetId="2" r:id="rId2"/>
  </sheets>
  <definedNames>
    <definedName name="acetaminophen">'Calculations'!$C$9</definedName>
    <definedName name="acetaminophencodeine">'Calculations'!$C$13</definedName>
    <definedName name="acetaminophenhydrocodone">'Calculations'!$C$24</definedName>
    <definedName name="acyclovir">'Calculations'!$C$32</definedName>
    <definedName name="age">'Calculations'!$G$6</definedName>
    <definedName name="amoxicillin">'Calculations'!$C$38</definedName>
    <definedName name="ampicillinsulbactam">'Calculations'!$C$42</definedName>
    <definedName name="azithromycin">'Calculations'!$C$52</definedName>
    <definedName name="cefdinir">'Calculations'!$C$62</definedName>
    <definedName name="ceftriaxone">'Calculations'!$C$66</definedName>
    <definedName name="diphenhydramine">'Calculations'!$C$85</definedName>
    <definedName name="DOB">'Calculations'!$D$6</definedName>
    <definedName name="hydromorphone">'Calculations'!$C$101</definedName>
    <definedName name="ketorolac">'Calculations'!$C$111</definedName>
    <definedName name="lorazepam">'Calculations'!$C$115</definedName>
    <definedName name="meperidine">'Calculations'!$C$121</definedName>
    <definedName name="methylprednisolone">'Calculations'!$C$127</definedName>
    <definedName name="midazolam">'Calculations'!$C$136</definedName>
    <definedName name="ondansetron">'Calculations'!$C$156</definedName>
    <definedName name="piperacillintazopbactam">'Calculations'!$C$170</definedName>
    <definedName name="prednisolone">'Calculations'!$C$174</definedName>
    <definedName name="weight">'Calculations'!$D$7</definedName>
  </definedNames>
  <calcPr fullCalcOnLoad="1"/>
</workbook>
</file>

<file path=xl/sharedStrings.xml><?xml version="1.0" encoding="utf-8"?>
<sst xmlns="http://schemas.openxmlformats.org/spreadsheetml/2006/main" count="197" uniqueCount="142">
  <si>
    <t>Patient Name:</t>
  </si>
  <si>
    <t>Date of Birth:</t>
  </si>
  <si>
    <t>Age:</t>
  </si>
  <si>
    <t>Weight (kg)</t>
  </si>
  <si>
    <t>to</t>
  </si>
  <si>
    <t>Tylenol #3: 30 mg codeine/300 mg acetaminophen</t>
  </si>
  <si>
    <t>mg PO every 4-6 hours</t>
  </si>
  <si>
    <t>12 mg codeine/120 mg acetaminophen/5 ml</t>
  </si>
  <si>
    <t>Elixir: 2.5 mg hydrocodone/166.7 mg acetaminophen/5 ml</t>
  </si>
  <si>
    <t>mg PO every 3-4 hours</t>
  </si>
  <si>
    <t>mg PO every 6-8 hours</t>
  </si>
  <si>
    <r>
      <t xml:space="preserve">mg 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 every 8 hours</t>
    </r>
  </si>
  <si>
    <r>
      <t xml:space="preserve">mg </t>
    </r>
    <r>
      <rPr>
        <b/>
        <sz val="10"/>
        <rFont val="Arial"/>
        <family val="2"/>
      </rPr>
      <t>PO</t>
    </r>
    <r>
      <rPr>
        <sz val="10"/>
        <rFont val="Arial"/>
        <family val="2"/>
      </rPr>
      <t xml:space="preserve"> every 6-8 hours</t>
    </r>
  </si>
  <si>
    <t>amoxicillin</t>
  </si>
  <si>
    <t>mg PO BID</t>
  </si>
  <si>
    <t>mg IM/IV</t>
  </si>
  <si>
    <t>5 day:</t>
  </si>
  <si>
    <t>3 day:</t>
  </si>
  <si>
    <t>mg PO daily for 3 days</t>
  </si>
  <si>
    <t>1 day:</t>
  </si>
  <si>
    <t>mg PO once</t>
  </si>
  <si>
    <t>Pharyngitis:</t>
  </si>
  <si>
    <t>mg PO daily for 5 days</t>
  </si>
  <si>
    <t>mg PO daily, divided into one or two doses</t>
  </si>
  <si>
    <r>
      <t xml:space="preserve">mg </t>
    </r>
    <r>
      <rPr>
        <b/>
        <sz val="10"/>
        <rFont val="Arial"/>
        <family val="2"/>
      </rPr>
      <t>PO</t>
    </r>
    <r>
      <rPr>
        <sz val="10"/>
        <rFont val="Arial"/>
        <family val="2"/>
      </rPr>
      <t xml:space="preserve"> daily, divided into 3 or 4 doses</t>
    </r>
  </si>
  <si>
    <r>
      <t xml:space="preserve">mg 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 daily, divided into 3 or 4 doses</t>
    </r>
  </si>
  <si>
    <t>codeine</t>
  </si>
  <si>
    <t>clindamycin</t>
  </si>
  <si>
    <t>mg PO/IM/IV every 6 hours</t>
  </si>
  <si>
    <t>gentamicin</t>
  </si>
  <si>
    <t>Traditional dosing:</t>
  </si>
  <si>
    <t>mg IV daily, divided into 2 or 3 doses</t>
  </si>
  <si>
    <t>mg IV daily</t>
  </si>
  <si>
    <r>
      <t xml:space="preserve">mg 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 every 4-6 hours</t>
    </r>
  </si>
  <si>
    <r>
      <t xml:space="preserve">mg </t>
    </r>
    <r>
      <rPr>
        <b/>
        <sz val="10"/>
        <rFont val="Arial"/>
        <family val="2"/>
      </rPr>
      <t>PO</t>
    </r>
    <r>
      <rPr>
        <sz val="10"/>
        <rFont val="Arial"/>
        <family val="2"/>
      </rPr>
      <t xml:space="preserve"> every 4-6 hours</t>
    </r>
  </si>
  <si>
    <t>Once daily dosing:</t>
  </si>
  <si>
    <t>(check orders for levels to be drawn)</t>
  </si>
  <si>
    <t>mg IM/IV every 6 hours</t>
  </si>
  <si>
    <t>mg PO/IM/IV/SQ every 3-4 hours</t>
  </si>
  <si>
    <t>PCA:</t>
  </si>
  <si>
    <t>status asthmaticus:</t>
  </si>
  <si>
    <t>mg IV every 6 hours</t>
  </si>
  <si>
    <t>mg IV loading dose, then</t>
  </si>
  <si>
    <t>Anti-inflammatory:</t>
  </si>
  <si>
    <t>mg IV daily, divided into 2 to 4 doses</t>
  </si>
  <si>
    <r>
      <t xml:space="preserve">mg 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 over 2-3 minutes</t>
    </r>
  </si>
  <si>
    <r>
      <t xml:space="preserve">mg </t>
    </r>
    <r>
      <rPr>
        <b/>
        <sz val="10"/>
        <rFont val="Arial"/>
        <family val="2"/>
      </rPr>
      <t>PO</t>
    </r>
  </si>
  <si>
    <t>morphine</t>
  </si>
  <si>
    <r>
      <t xml:space="preserve">mg </t>
    </r>
    <r>
      <rPr>
        <b/>
        <sz val="10"/>
        <rFont val="Arial"/>
        <family val="2"/>
      </rPr>
      <t>PO</t>
    </r>
    <r>
      <rPr>
        <sz val="10"/>
        <rFont val="Arial"/>
        <family val="2"/>
      </rPr>
      <t xml:space="preserve"> every 4-6 hours</t>
    </r>
  </si>
  <si>
    <r>
      <t xml:space="preserve">mg </t>
    </r>
    <r>
      <rPr>
        <b/>
        <sz val="10"/>
        <rFont val="Arial"/>
        <family val="2"/>
      </rPr>
      <t>IV</t>
    </r>
    <r>
      <rPr>
        <sz val="10"/>
        <rFont val="Arial"/>
        <family val="2"/>
      </rPr>
      <t xml:space="preserve"> every 2-4 hours</t>
    </r>
  </si>
  <si>
    <t>oxacillin</t>
  </si>
  <si>
    <r>
      <t xml:space="preserve">mg </t>
    </r>
    <r>
      <rPr>
        <b/>
        <sz val="10"/>
        <rFont val="Arial"/>
        <family val="2"/>
      </rPr>
      <t>PO</t>
    </r>
    <r>
      <rPr>
        <sz val="10"/>
        <rFont val="Arial"/>
        <family val="2"/>
      </rPr>
      <t xml:space="preserve"> every 6 hours</t>
    </r>
  </si>
  <si>
    <r>
      <t xml:space="preserve">mg </t>
    </r>
    <r>
      <rPr>
        <b/>
        <sz val="10"/>
        <rFont val="Arial"/>
        <family val="2"/>
      </rPr>
      <t>IV/IM</t>
    </r>
    <r>
      <rPr>
        <sz val="10"/>
        <rFont val="Arial"/>
        <family val="2"/>
      </rPr>
      <t xml:space="preserve"> daily, divided into 4 or 6 doses</t>
    </r>
  </si>
  <si>
    <t>mg PO daily</t>
  </si>
  <si>
    <t>vancomycin</t>
  </si>
  <si>
    <t>mg IV every 6-8 hours</t>
  </si>
  <si>
    <r>
      <t>acetaminophen</t>
    </r>
    <r>
      <rPr>
        <b/>
        <sz val="10"/>
        <rFont val="Arial"/>
        <family val="2"/>
      </rPr>
      <t xml:space="preserve"> (Tylenol)</t>
    </r>
  </si>
  <si>
    <r>
      <t>acetaminophen with codeine tablet</t>
    </r>
    <r>
      <rPr>
        <b/>
        <sz val="10"/>
        <rFont val="Arial"/>
        <family val="2"/>
      </rPr>
      <t xml:space="preserve"> (dose based on codeine component)</t>
    </r>
  </si>
  <si>
    <r>
      <t>acyclovir</t>
    </r>
    <r>
      <rPr>
        <b/>
        <sz val="10"/>
        <rFont val="Arial"/>
        <family val="2"/>
      </rPr>
      <t xml:space="preserve"> (Zovirax)</t>
    </r>
  </si>
  <si>
    <r>
      <t>ampicillin/sulbactam</t>
    </r>
    <r>
      <rPr>
        <b/>
        <sz val="10"/>
        <rFont val="Arial"/>
        <family val="2"/>
      </rPr>
      <t xml:space="preserve"> (Unasyn). Dosage based on the ampicillin component</t>
    </r>
  </si>
  <si>
    <r>
      <t>azithromycin</t>
    </r>
    <r>
      <rPr>
        <b/>
        <sz val="10"/>
        <rFont val="Arial"/>
        <family val="2"/>
      </rPr>
      <t xml:space="preserve"> (Zithromax)</t>
    </r>
  </si>
  <si>
    <r>
      <t>cefdinir</t>
    </r>
    <r>
      <rPr>
        <b/>
        <sz val="10"/>
        <rFont val="Arial"/>
        <family val="2"/>
      </rPr>
      <t xml:space="preserve"> (Omnicef)</t>
    </r>
  </si>
  <si>
    <r>
      <t>ceftriaxone</t>
    </r>
    <r>
      <rPr>
        <b/>
        <sz val="10"/>
        <rFont val="Arial"/>
        <family val="2"/>
      </rPr>
      <t xml:space="preserve"> (Rocephin)</t>
    </r>
  </si>
  <si>
    <r>
      <t>diphenhydramine</t>
    </r>
    <r>
      <rPr>
        <b/>
        <sz val="10"/>
        <rFont val="Arial"/>
        <family val="2"/>
      </rPr>
      <t xml:space="preserve"> (Benadryl)</t>
    </r>
  </si>
  <si>
    <r>
      <t>hydromorphone</t>
    </r>
    <r>
      <rPr>
        <b/>
        <sz val="10"/>
        <rFont val="Arial"/>
        <family val="2"/>
      </rPr>
      <t xml:space="preserve"> (Dilaudid)</t>
    </r>
  </si>
  <si>
    <r>
      <t>ibuprofen</t>
    </r>
    <r>
      <rPr>
        <b/>
        <sz val="10"/>
        <rFont val="Arial"/>
        <family val="2"/>
      </rPr>
      <t xml:space="preserve"> (Motrin, Advil)</t>
    </r>
  </si>
  <si>
    <r>
      <t>ketorolac</t>
    </r>
    <r>
      <rPr>
        <b/>
        <sz val="10"/>
        <rFont val="Arial"/>
        <family val="2"/>
      </rPr>
      <t xml:space="preserve"> (Toradol)</t>
    </r>
  </si>
  <si>
    <r>
      <t>lorazepam</t>
    </r>
    <r>
      <rPr>
        <b/>
        <sz val="10"/>
        <rFont val="Arial"/>
        <family val="2"/>
      </rPr>
      <t xml:space="preserve"> (Ativan) for status epilepticus</t>
    </r>
  </si>
  <si>
    <r>
      <t>meperidine</t>
    </r>
    <r>
      <rPr>
        <b/>
        <sz val="10"/>
        <rFont val="Arial"/>
        <family val="2"/>
      </rPr>
      <t xml:space="preserve"> (Demerol)</t>
    </r>
  </si>
  <si>
    <r>
      <t>methylprednisolone</t>
    </r>
    <r>
      <rPr>
        <b/>
        <sz val="10"/>
        <rFont val="Arial"/>
        <family val="2"/>
      </rPr>
      <t xml:space="preserve"> (Solu-Medrol)</t>
    </r>
  </si>
  <si>
    <r>
      <t>midazolam</t>
    </r>
    <r>
      <rPr>
        <b/>
        <sz val="10"/>
        <rFont val="Arial"/>
        <family val="2"/>
      </rPr>
      <t xml:space="preserve"> (Versed)</t>
    </r>
  </si>
  <si>
    <r>
      <t>ondansetron</t>
    </r>
    <r>
      <rPr>
        <b/>
        <sz val="10"/>
        <rFont val="Arial"/>
        <family val="2"/>
      </rPr>
      <t xml:space="preserve"> (Zofran)</t>
    </r>
  </si>
  <si>
    <r>
      <t>piperacillin/tazobactam</t>
    </r>
    <r>
      <rPr>
        <b/>
        <sz val="10"/>
        <rFont val="Arial"/>
        <family val="2"/>
      </rPr>
      <t xml:space="preserve"> (Zosyn)</t>
    </r>
  </si>
  <si>
    <r>
      <t>prednisolone</t>
    </r>
    <r>
      <rPr>
        <b/>
        <sz val="10"/>
        <rFont val="Arial"/>
        <family val="2"/>
      </rPr>
      <t xml:space="preserve"> (Orapred) (liquid) or prednisone (tablets)</t>
    </r>
  </si>
  <si>
    <t>0.5-1 mg/kg codeine up to 60 mg every 4-6 hours</t>
  </si>
  <si>
    <t>0.2 mg/kg hydrocodone up to 10 mg every 3-4 hours</t>
  </si>
  <si>
    <r>
      <t>acetaminophen with codeine elixir</t>
    </r>
    <r>
      <rPr>
        <b/>
        <sz val="10"/>
        <rFont val="Arial"/>
        <family val="2"/>
      </rPr>
      <t xml:space="preserve"> (Tylenol with Codeine Elixir)</t>
    </r>
  </si>
  <si>
    <t xml:space="preserve"> (dose based on codeine component)</t>
  </si>
  <si>
    <t xml:space="preserve"> (dose based on hydrocodone component)</t>
  </si>
  <si>
    <t>Pharyngitis dosing: 12mg/kg up to 500 mg daily for 5 days</t>
  </si>
  <si>
    <t>14 mg/kg/day up to 600 mg</t>
  </si>
  <si>
    <t>10-30 mg/kg/day up to 1800 mg PO</t>
  </si>
  <si>
    <t>25-40 mg/kg/day up to 4800 mg IV</t>
  </si>
  <si>
    <t>0.5-1 mg/kg up to 60 mg every 4-6 hours</t>
  </si>
  <si>
    <t xml:space="preserve">5-7.5 mg/kg/day </t>
  </si>
  <si>
    <t>0.015 mg/kg up to 2 mg IV every 4-6 hours</t>
  </si>
  <si>
    <t>0.03-0.08 mg/kg up to 4 mg every 4-6 hours PO</t>
  </si>
  <si>
    <t>5-10 mg/kg up to 600 mg every 6-8 hours</t>
  </si>
  <si>
    <t>0.05-0.1 mg/kg up to 4 mg</t>
  </si>
  <si>
    <t>mg/dose IV over 2-5 minutes</t>
  </si>
  <si>
    <t>1-1.5 mg/kg up to 50 mg every 3-4 hours</t>
  </si>
  <si>
    <t>Asthma: 2 mg/kg up to 60 mg loading dose, then 0.5 mg/kg up to 15 mg every 6 hours</t>
  </si>
  <si>
    <t>Anti-inflammatory: 0.5-1.7 mg/kg/day</t>
  </si>
  <si>
    <t>0.025-0.1 mg/kg up to 2 mg IV</t>
  </si>
  <si>
    <t>0.25-0.5 mg/kg up to 20 mg PO</t>
  </si>
  <si>
    <t>0.01-0.04 mg/kg/hour PCA</t>
  </si>
  <si>
    <t>0.1 mg/kg up to 4 mg every 8 hours IV</t>
  </si>
  <si>
    <t>12.5-25 mg/kg up to 1000 mg every 6 hours PO</t>
  </si>
  <si>
    <t>total of 30 mg/kg up to 1500 mg, divided into 1, 3 or 5 day courses</t>
  </si>
  <si>
    <t>10-45 mg/kg up to 1500 mg every 12 hours</t>
  </si>
  <si>
    <t>1-2 mg/kg/day up to 60 mg/day</t>
  </si>
  <si>
    <t>2 mg for weight 8-15 kg; 4 mg for weight &gt; 15 kg, every 8 hours PO</t>
  </si>
  <si>
    <t>80 mg/kg/day up to 400 mg/day PO</t>
  </si>
  <si>
    <t>5 mg/kg every 8 hours IV</t>
  </si>
  <si>
    <t>0.5 mg/kg up to 30 mg every 6 hours</t>
  </si>
  <si>
    <t>100-200 mg/kg/day up to 12 grams, divided every 4-6 hours IV</t>
  </si>
  <si>
    <t>grams IV divided into 3 to 4 doses</t>
  </si>
  <si>
    <t>25 mg/kg up to 2000 mg every 6-8 hours</t>
  </si>
  <si>
    <t>5/325 tablet: 5 mg hydrocodone/325 mg acetaminophen</t>
  </si>
  <si>
    <t>10/325 tablet: 10 mg hydrocodone/325 mg acetaminophen</t>
  </si>
  <si>
    <t>10-15 mg/kg up to 650 mg every 4 hours</t>
  </si>
  <si>
    <t>mg PO/PR every 4 hours</t>
  </si>
  <si>
    <t>ml PO every 4 hours</t>
  </si>
  <si>
    <t>0.5-1 mg/kg codeine up to 60 mg every 4 hours</t>
  </si>
  <si>
    <t>10-20 mg/kg up to 1 gram every 6-8 hours</t>
  </si>
  <si>
    <r>
      <t>acetaminophen with hydrocodone</t>
    </r>
    <r>
      <rPr>
        <b/>
        <sz val="10"/>
        <rFont val="Arial"/>
        <family val="2"/>
      </rPr>
      <t xml:space="preserve"> (Lortab, Vicodin)</t>
    </r>
  </si>
  <si>
    <t>MEDICATION:</t>
  </si>
  <si>
    <t>Recommended Dosage:</t>
  </si>
  <si>
    <t>Ordered Dose:</t>
  </si>
  <si>
    <t>WEIGHT:</t>
  </si>
  <si>
    <t>Recommended Time Interval:</t>
  </si>
  <si>
    <t>Label Concentration:</t>
  </si>
  <si>
    <t>Dosage Calculation:</t>
  </si>
  <si>
    <t>Date: _________________   Time:______________________</t>
  </si>
  <si>
    <t>Signature:__________________________________________</t>
  </si>
  <si>
    <t>Signature:________________________________________</t>
  </si>
  <si>
    <t>Date: _________________   Time:____________________</t>
  </si>
  <si>
    <t>NAME:</t>
  </si>
  <si>
    <t>Concentration</t>
  </si>
  <si>
    <t>Calculation:</t>
  </si>
  <si>
    <t>1.25 mg/kg up to 50 mg every 6 hours</t>
  </si>
  <si>
    <t>0.2-0.5 mg/kg up to 10 mg every 4-6 hours PO</t>
  </si>
  <si>
    <t>0.1-0.2 mg/kg up to 10 mg every 2-4 hours IV</t>
  </si>
  <si>
    <t>Calculation</t>
  </si>
  <si>
    <r>
      <rPr>
        <b/>
        <sz val="12"/>
        <rFont val="Arial"/>
        <family val="2"/>
      </rPr>
      <t xml:space="preserve">SCN PEDIATRIC MEDICATION CALCULATIONS
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Page 1 of 1
</t>
    </r>
    <r>
      <rPr>
        <b/>
        <sz val="10"/>
        <rFont val="Arial"/>
        <family val="2"/>
      </rPr>
      <t>St. Luke's Hospital</t>
    </r>
    <r>
      <rPr>
        <sz val="10"/>
        <rFont val="Arial"/>
        <family val="2"/>
      </rPr>
      <t xml:space="preserve">
232 S. Woods Mill Rd, Chesterfield MO,  63017
</t>
    </r>
    <r>
      <rPr>
        <sz val="8"/>
        <rFont val="Arial"/>
        <family val="2"/>
      </rPr>
      <t>SL-0332                          Medication Record Tab                       Rev. 08/10</t>
    </r>
  </si>
  <si>
    <t>PCA: 0.5-1 mg/kg loading dose, then 0.3-0.7 mg/kg/hour</t>
  </si>
  <si>
    <t>300-400 mg/kg/day up to 16 grams (150-300 if &lt; 6 months old), based on piperacillin component</t>
  </si>
  <si>
    <t>50-100 mg/kg/day up to 4000 mg</t>
  </si>
  <si>
    <t>mg IV/IM every 24 hours</t>
  </si>
  <si>
    <t>mg IV/IM every 12 hours</t>
  </si>
  <si>
    <t>Daily dosing:</t>
  </si>
  <si>
    <t>Twice daily dosing: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</si>
</sst>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#"/>
    <numFmt numFmtId="166" formatCode="0.##"/>
    <numFmt numFmtId="167" formatCode="m/d/yyyy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52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5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2" fillId="0" borderId="19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/>
    </xf>
    <xf numFmtId="166" fontId="7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167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 locked="0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26" xfId="0" applyBorder="1" applyAlignment="1">
      <alignment wrapText="1"/>
    </xf>
    <xf numFmtId="166" fontId="2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3</xdr:col>
      <xdr:colOff>9525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1</xdr:col>
      <xdr:colOff>161925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133350</xdr:colOff>
      <xdr:row>0</xdr:row>
      <xdr:rowOff>57150</xdr:rowOff>
    </xdr:from>
    <xdr:ext cx="1543050" cy="533400"/>
    <xdr:sp>
      <xdr:nvSpPr>
        <xdr:cNvPr id="2" name="AutoShape 1"/>
        <xdr:cNvSpPr>
          <a:spLocks noChangeAspect="1"/>
        </xdr:cNvSpPr>
      </xdr:nvSpPr>
      <xdr:spPr>
        <a:xfrm>
          <a:off x="133350" y="57150"/>
          <a:ext cx="1543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08"/>
  <sheetViews>
    <sheetView tabSelected="1" view="pageBreakPreview" zoomScaleSheetLayoutView="100" zoomScalePageLayoutView="0" workbookViewId="0" topLeftCell="A55">
      <selection activeCell="N40" sqref="N40"/>
    </sheetView>
  </sheetViews>
  <sheetFormatPr defaultColWidth="9.140625" defaultRowHeight="12.75"/>
  <cols>
    <col min="1" max="1" width="2.28125" style="0" customWidth="1"/>
    <col min="2" max="2" width="3.57421875" style="0" customWidth="1"/>
    <col min="3" max="3" width="18.421875" style="0" customWidth="1"/>
    <col min="4" max="4" width="12.8515625" style="35" customWidth="1"/>
    <col min="5" max="5" width="9.140625" style="35" customWidth="1"/>
    <col min="6" max="6" width="13.421875" style="35" customWidth="1"/>
  </cols>
  <sheetData>
    <row r="1" ht="12.75"/>
    <row r="2" ht="12.75"/>
    <row r="3" ht="12.75"/>
    <row r="4" ht="18">
      <c r="E4" s="36" t="str">
        <f>IF(OR(ISBLANK(DOB),ISBLANK(weight)),"You must fill in the weight and birth date","")</f>
        <v>You must fill in the weight and birth date</v>
      </c>
    </row>
    <row r="5" spans="3:6" ht="18">
      <c r="C5" s="7" t="s">
        <v>0</v>
      </c>
      <c r="D5" s="37"/>
      <c r="F5" s="38"/>
    </row>
    <row r="6" spans="3:7" ht="18">
      <c r="C6" s="7" t="s">
        <v>1</v>
      </c>
      <c r="D6" s="47"/>
      <c r="E6" s="39" t="s">
        <v>2</v>
      </c>
      <c r="F6" s="38">
        <f ca="1">IF(ISBLANK(DOB),"",IF(TODAY()-DOB&lt;30,DATEDIF(DOB,TODAY(),"d")&amp;" day(s)",IF(TODAY()-DOB&lt;366,DATEDIF(DOB,TODAY(),"m")&amp;" month(s)",DATEDIF(DOB,TODAY(),"y")&amp;" year(s)")))</f>
      </c>
      <c r="G6" s="1"/>
    </row>
    <row r="7" spans="3:6" ht="18">
      <c r="C7" s="7" t="s">
        <v>3</v>
      </c>
      <c r="D7" s="37"/>
      <c r="E7" s="40"/>
      <c r="F7" s="38"/>
    </row>
    <row r="8" ht="13.5" thickBot="1"/>
    <row r="9" spans="2:3" ht="18.75" thickBot="1">
      <c r="B9" s="8"/>
      <c r="C9" s="4" t="s">
        <v>56</v>
      </c>
    </row>
    <row r="10" spans="3:6" s="6" customFormat="1" ht="12.75">
      <c r="C10" s="6" t="s">
        <v>110</v>
      </c>
      <c r="D10" s="41"/>
      <c r="E10" s="41"/>
      <c r="F10" s="41"/>
    </row>
    <row r="11" spans="4:7" ht="12.75">
      <c r="D11" s="42">
        <f>MIN(10*weight,500)</f>
        <v>0</v>
      </c>
      <c r="E11" s="42" t="s">
        <v>4</v>
      </c>
      <c r="F11" s="42">
        <f>MIN(15*weight,650)</f>
        <v>0</v>
      </c>
      <c r="G11" t="s">
        <v>111</v>
      </c>
    </row>
    <row r="12" ht="13.5" thickBot="1"/>
    <row r="13" spans="2:3" ht="18.75" thickBot="1">
      <c r="B13" s="8"/>
      <c r="C13" s="4" t="s">
        <v>57</v>
      </c>
    </row>
    <row r="14" spans="3:6" s="6" customFormat="1" ht="12.75">
      <c r="C14" s="6" t="s">
        <v>74</v>
      </c>
      <c r="D14" s="41"/>
      <c r="E14" s="41"/>
      <c r="F14" s="41"/>
    </row>
    <row r="15" ht="12.75">
      <c r="D15" s="43" t="s">
        <v>5</v>
      </c>
    </row>
    <row r="16" spans="4:7" ht="12.75">
      <c r="D16" s="42">
        <f>IF(weight&lt;120,0.5*weight,"")</f>
        <v>0</v>
      </c>
      <c r="E16" s="42" t="str">
        <f>IF(weight&lt;120,"to","")</f>
        <v>to</v>
      </c>
      <c r="F16" s="42">
        <f>MIN(1*weight,60)</f>
        <v>0</v>
      </c>
      <c r="G16" t="s">
        <v>6</v>
      </c>
    </row>
    <row r="17" ht="13.5" thickBot="1"/>
    <row r="18" spans="2:3" ht="18.75" thickBot="1">
      <c r="B18" s="8"/>
      <c r="C18" s="4" t="s">
        <v>76</v>
      </c>
    </row>
    <row r="19" spans="3:6" s="2" customFormat="1" ht="12.75">
      <c r="C19" s="2" t="s">
        <v>77</v>
      </c>
      <c r="D19" s="43"/>
      <c r="E19" s="43"/>
      <c r="F19" s="43"/>
    </row>
    <row r="20" spans="3:6" s="6" customFormat="1" ht="12.75">
      <c r="C20" s="6" t="s">
        <v>113</v>
      </c>
      <c r="D20" s="41"/>
      <c r="E20" s="41"/>
      <c r="F20" s="41"/>
    </row>
    <row r="21" ht="12.75">
      <c r="D21" s="43" t="s">
        <v>7</v>
      </c>
    </row>
    <row r="22" spans="4:7" ht="12.75">
      <c r="D22" s="42">
        <f>IF(weight&lt;120,0.5*5*weight/12,"")</f>
        <v>0</v>
      </c>
      <c r="E22" s="42" t="str">
        <f>IF(weight&lt;120,"to","")</f>
        <v>to</v>
      </c>
      <c r="F22" s="42">
        <f>MIN(5*weight/12,60*5/12)</f>
        <v>0</v>
      </c>
      <c r="G22" t="s">
        <v>112</v>
      </c>
    </row>
    <row r="23" ht="13.5" thickBot="1"/>
    <row r="24" spans="2:3" ht="18.75" thickBot="1">
      <c r="B24" s="8"/>
      <c r="C24" s="4" t="s">
        <v>115</v>
      </c>
    </row>
    <row r="25" ht="12.75">
      <c r="C25" s="2" t="s">
        <v>78</v>
      </c>
    </row>
    <row r="26" spans="3:6" s="6" customFormat="1" ht="12.75">
      <c r="C26" s="6" t="s">
        <v>75</v>
      </c>
      <c r="D26" s="41"/>
      <c r="E26" s="41"/>
      <c r="F26" s="41"/>
    </row>
    <row r="27" ht="12.75">
      <c r="D27" s="43" t="s">
        <v>108</v>
      </c>
    </row>
    <row r="28" ht="12.75">
      <c r="D28" s="43" t="s">
        <v>109</v>
      </c>
    </row>
    <row r="29" ht="12.75">
      <c r="D29" s="43" t="s">
        <v>8</v>
      </c>
    </row>
    <row r="30" spans="4:5" ht="12.75">
      <c r="D30" s="42">
        <f>MIN(0.2*weight,10)</f>
        <v>0</v>
      </c>
      <c r="E30" s="35" t="s">
        <v>9</v>
      </c>
    </row>
    <row r="31" ht="13.5" thickBot="1"/>
    <row r="32" spans="2:3" ht="18.75" thickBot="1">
      <c r="B32" s="8"/>
      <c r="C32" s="4" t="s">
        <v>58</v>
      </c>
    </row>
    <row r="33" spans="3:6" s="6" customFormat="1" ht="12.75">
      <c r="C33" s="6" t="s">
        <v>102</v>
      </c>
      <c r="D33" s="41"/>
      <c r="E33" s="41"/>
      <c r="F33" s="41"/>
    </row>
    <row r="34" spans="3:7" ht="12.75">
      <c r="C34" s="2"/>
      <c r="D34" s="42">
        <f>IF(weight&gt;15,400,"")</f>
      </c>
      <c r="E34" s="42">
        <f>IF(weight&gt;15,"to","")</f>
      </c>
      <c r="F34" s="42">
        <f>IF(weight&gt;15,MIN(80*weight/3,800),400)</f>
        <v>400</v>
      </c>
      <c r="G34" s="1" t="s">
        <v>12</v>
      </c>
    </row>
    <row r="35" spans="3:7" ht="12.75">
      <c r="C35" s="6" t="s">
        <v>103</v>
      </c>
      <c r="D35" s="42"/>
      <c r="E35" s="42"/>
      <c r="F35" s="42"/>
      <c r="G35" s="1"/>
    </row>
    <row r="36" spans="4:5" ht="12.75">
      <c r="D36" s="42">
        <f>5*weight</f>
        <v>0</v>
      </c>
      <c r="E36" s="35" t="s">
        <v>11</v>
      </c>
    </row>
    <row r="37" ht="13.5" thickBot="1"/>
    <row r="38" spans="2:3" ht="18.75" thickBot="1">
      <c r="B38" s="8"/>
      <c r="C38" s="4" t="s">
        <v>13</v>
      </c>
    </row>
    <row r="39" spans="3:6" s="6" customFormat="1" ht="12.75">
      <c r="C39" s="6" t="s">
        <v>99</v>
      </c>
      <c r="D39" s="41"/>
      <c r="E39" s="41"/>
      <c r="F39" s="41"/>
    </row>
    <row r="40" spans="4:7" ht="12.75">
      <c r="D40" s="42">
        <f ca="1">IF(DATEDIF(DOB,TODAY(),"m")&lt;=3,10*weight,MIN(10*weight,875))</f>
        <v>0</v>
      </c>
      <c r="E40" s="42" t="s">
        <v>4</v>
      </c>
      <c r="F40" s="42">
        <f ca="1">IF(DATEDIF(DOB,TODAY(),"m")&lt;=3,15*weight,MIN(45*weight,1500))</f>
        <v>0</v>
      </c>
      <c r="G40" t="s">
        <v>14</v>
      </c>
    </row>
    <row r="41" ht="13.5" thickBot="1"/>
    <row r="42" spans="2:3" ht="18.75" thickBot="1">
      <c r="B42" s="8"/>
      <c r="C42" s="4" t="s">
        <v>59</v>
      </c>
    </row>
    <row r="43" spans="3:6" s="6" customFormat="1" ht="12.75">
      <c r="C43" s="6" t="s">
        <v>107</v>
      </c>
      <c r="D43" s="41"/>
      <c r="E43" s="41"/>
      <c r="F43" s="41"/>
    </row>
    <row r="44" spans="4:8" ht="12.75">
      <c r="D44" s="42">
        <f>MIN(25*weight,1000)</f>
        <v>0</v>
      </c>
      <c r="E44" s="42" t="s">
        <v>4</v>
      </c>
      <c r="F44" s="42">
        <f ca="1">IF(DATEDIF(DOB,TODAY(),"y")&lt;1,75*weight,MIN(100*weight,2000))</f>
        <v>0</v>
      </c>
      <c r="G44" t="s">
        <v>15</v>
      </c>
      <c r="H44" t="str">
        <f ca="1">IF(DATEDIF(DOB,TODAY(),"y")&lt;18,"every 6 hours","every 6-8 hours")</f>
        <v>every 6-8 hours</v>
      </c>
    </row>
    <row r="46" ht="12.75">
      <c r="C46" s="5" t="str">
        <f>HYPERLINK("[Meds.xls]Sheet1!lorazepam","Ativan (see lorazepam)")</f>
        <v>Ativan (see lorazepam)</v>
      </c>
    </row>
    <row r="48" spans="3:6" ht="18">
      <c r="C48" s="7" t="s">
        <v>0</v>
      </c>
      <c r="D48" s="44">
        <f>D5</f>
        <v>0</v>
      </c>
      <c r="E48" s="36"/>
      <c r="F48" s="38"/>
    </row>
    <row r="49" spans="3:6" ht="18">
      <c r="C49" s="7" t="s">
        <v>1</v>
      </c>
      <c r="D49" s="46">
        <f>DOB</f>
        <v>0</v>
      </c>
      <c r="E49" s="39" t="s">
        <v>2</v>
      </c>
      <c r="F49" s="38">
        <f>F6</f>
      </c>
    </row>
    <row r="50" spans="3:6" ht="18">
      <c r="C50" s="7" t="s">
        <v>3</v>
      </c>
      <c r="D50" s="44">
        <f>weight</f>
        <v>0</v>
      </c>
      <c r="E50" s="40"/>
      <c r="F50" s="38"/>
    </row>
    <row r="51" spans="3:6" ht="18.75" thickBot="1">
      <c r="C51" s="7"/>
      <c r="D51" s="37"/>
      <c r="E51" s="40"/>
      <c r="F51" s="38"/>
    </row>
    <row r="52" spans="2:3" ht="18.75" thickBot="1">
      <c r="B52" s="8"/>
      <c r="C52" s="4" t="s">
        <v>60</v>
      </c>
    </row>
    <row r="53" spans="3:6" s="6" customFormat="1" ht="12.75">
      <c r="C53" s="6" t="s">
        <v>98</v>
      </c>
      <c r="D53" s="41"/>
      <c r="E53" s="41"/>
      <c r="F53" s="41"/>
    </row>
    <row r="54" spans="4:5" ht="12.75">
      <c r="D54" s="43" t="s">
        <v>16</v>
      </c>
      <c r="E54" s="35" t="str">
        <f>FLOOR(MIN(10*weight,500),1)&amp;" mg PO on day 1, followed by "&amp;FLOOR(MIN(5*weight,250),1)&amp;" daily on days 2-5"</f>
        <v>0 mg PO on day 1, followed by 0 daily on days 2-5</v>
      </c>
    </row>
    <row r="55" spans="4:6" ht="12.75">
      <c r="D55" s="43" t="s">
        <v>17</v>
      </c>
      <c r="E55" s="42">
        <f>MIN(10*weight,500)</f>
        <v>0</v>
      </c>
      <c r="F55" s="35" t="s">
        <v>18</v>
      </c>
    </row>
    <row r="56" spans="4:6" ht="12.75">
      <c r="D56" s="43" t="s">
        <v>19</v>
      </c>
      <c r="E56" s="42">
        <f>MIN(30*weight,1500)</f>
        <v>0</v>
      </c>
      <c r="F56" s="35" t="s">
        <v>20</v>
      </c>
    </row>
    <row r="57" spans="3:6" s="6" customFormat="1" ht="12.75">
      <c r="C57" s="6" t="s">
        <v>79</v>
      </c>
      <c r="D57" s="41"/>
      <c r="E57" s="41"/>
      <c r="F57" s="41"/>
    </row>
    <row r="58" spans="4:6" ht="12.75">
      <c r="D58" s="43" t="s">
        <v>21</v>
      </c>
      <c r="E58" s="42">
        <f>MIN(12*weight,500)</f>
        <v>0</v>
      </c>
      <c r="F58" s="35" t="s">
        <v>22</v>
      </c>
    </row>
    <row r="60" ht="12.75">
      <c r="C60" s="3" t="str">
        <f>HYPERLINK("[Meds.xls]Sheet1!diphenhydramine","Benadryl (see diphenhydramine)")</f>
        <v>Benadryl (see diphenhydramine)</v>
      </c>
    </row>
    <row r="61" ht="13.5" thickBot="1"/>
    <row r="62" spans="2:3" ht="18.75" thickBot="1">
      <c r="B62" s="8"/>
      <c r="C62" s="4" t="s">
        <v>61</v>
      </c>
    </row>
    <row r="63" spans="3:6" s="6" customFormat="1" ht="12.75">
      <c r="C63" s="6" t="s">
        <v>80</v>
      </c>
      <c r="D63" s="41"/>
      <c r="E63" s="41"/>
      <c r="F63" s="41"/>
    </row>
    <row r="64" spans="4:5" ht="12.75">
      <c r="D64" s="42">
        <f>MIN(14*weight,600)</f>
        <v>0</v>
      </c>
      <c r="E64" s="35" t="s">
        <v>23</v>
      </c>
    </row>
    <row r="65" ht="13.5" thickBot="1"/>
    <row r="66" spans="2:3" ht="18.75" thickBot="1">
      <c r="B66" s="8"/>
      <c r="C66" s="4" t="s">
        <v>62</v>
      </c>
    </row>
    <row r="67" spans="3:6" s="6" customFormat="1" ht="12.75">
      <c r="C67" s="6" t="s">
        <v>137</v>
      </c>
      <c r="D67" s="41"/>
      <c r="E67" s="41"/>
      <c r="F67" s="41"/>
    </row>
    <row r="68" spans="3:7" ht="12.75">
      <c r="C68" s="2" t="s">
        <v>140</v>
      </c>
      <c r="D68" s="42">
        <f>IF(weight&lt;20,50*weight,1000)</f>
        <v>0</v>
      </c>
      <c r="E68" s="42" t="s">
        <v>4</v>
      </c>
      <c r="F68" s="42">
        <f>MIN(100*weight,4000)</f>
        <v>0</v>
      </c>
      <c r="G68" s="35" t="s">
        <v>138</v>
      </c>
    </row>
    <row r="69" spans="3:7" ht="12.75">
      <c r="C69" s="57" t="s">
        <v>141</v>
      </c>
      <c r="D69" s="42">
        <f>IF(weight&lt;20,25*weight,500)</f>
        <v>0</v>
      </c>
      <c r="F69" s="42">
        <f>MIN(50*weight,2000)</f>
        <v>0</v>
      </c>
      <c r="G69" s="35" t="s">
        <v>139</v>
      </c>
    </row>
    <row r="70" ht="13.5" thickBot="1"/>
    <row r="71" spans="2:3" ht="18.75" thickBot="1">
      <c r="B71" s="8"/>
      <c r="C71" s="4" t="s">
        <v>27</v>
      </c>
    </row>
    <row r="72" spans="3:6" s="6" customFormat="1" ht="12.75">
      <c r="C72" s="6" t="s">
        <v>81</v>
      </c>
      <c r="D72" s="41"/>
      <c r="E72" s="41"/>
      <c r="F72" s="41"/>
    </row>
    <row r="73" spans="4:7" ht="12.75">
      <c r="D73" s="42">
        <f>IF(weight&lt;180,10*weight,"")</f>
        <v>0</v>
      </c>
      <c r="E73" s="42" t="str">
        <f>IF(weight&lt;180,"to","")</f>
        <v>to</v>
      </c>
      <c r="F73" s="42">
        <f>MIN(30*weight,1800)</f>
        <v>0</v>
      </c>
      <c r="G73" t="s">
        <v>24</v>
      </c>
    </row>
    <row r="74" spans="3:6" s="6" customFormat="1" ht="12.75">
      <c r="C74" s="6" t="s">
        <v>82</v>
      </c>
      <c r="D74" s="41"/>
      <c r="E74" s="41"/>
      <c r="F74" s="41"/>
    </row>
    <row r="75" spans="4:7" ht="12.75">
      <c r="D75" s="42">
        <f>IF(weight&lt;4800/25,25*weight,"")</f>
        <v>0</v>
      </c>
      <c r="E75" s="42" t="str">
        <f>IF(weight&lt;180,"to","")</f>
        <v>to</v>
      </c>
      <c r="F75" s="42">
        <f>MIN(40*weight,4800)</f>
        <v>0</v>
      </c>
      <c r="G75" t="s">
        <v>25</v>
      </c>
    </row>
    <row r="76" ht="13.5" thickBot="1"/>
    <row r="77" spans="2:3" ht="18.75" thickBot="1">
      <c r="B77" s="8"/>
      <c r="C77" s="4" t="s">
        <v>26</v>
      </c>
    </row>
    <row r="78" spans="3:6" s="6" customFormat="1" ht="12.75">
      <c r="C78" s="6" t="s">
        <v>83</v>
      </c>
      <c r="D78" s="41"/>
      <c r="E78" s="41"/>
      <c r="F78" s="41"/>
    </row>
    <row r="79" spans="4:7" ht="12.75">
      <c r="D79" s="42">
        <f>IF(weight&lt;120,0.5*weight,"")</f>
        <v>0</v>
      </c>
      <c r="E79" s="42" t="str">
        <f>IF(weight&lt;120,"to","")</f>
        <v>to</v>
      </c>
      <c r="F79" s="42">
        <f>MIN(1*weight,60)</f>
        <v>0</v>
      </c>
      <c r="G79" t="s">
        <v>6</v>
      </c>
    </row>
    <row r="81" ht="12.75">
      <c r="C81" s="3" t="str">
        <f>HYPERLINK("[Meds.xls]Sheet1!meperidine","Demerol (see meperidine)")</f>
        <v>Demerol (see meperidine)</v>
      </c>
    </row>
    <row r="83" ht="12.75">
      <c r="C83" s="3" t="str">
        <f>HYPERLINK("[Meds.xls]Sheet1!hydromorphone","Dilaudid (see hydromorphone)")</f>
        <v>Dilaudid (see hydromorphone)</v>
      </c>
    </row>
    <row r="84" ht="13.5" thickBot="1"/>
    <row r="85" spans="2:3" ht="18.75" thickBot="1">
      <c r="B85" s="8"/>
      <c r="C85" s="4" t="s">
        <v>63</v>
      </c>
    </row>
    <row r="86" spans="3:6" s="6" customFormat="1" ht="12.75">
      <c r="C86" s="6" t="s">
        <v>130</v>
      </c>
      <c r="D86" s="41"/>
      <c r="E86" s="41"/>
      <c r="F86" s="41"/>
    </row>
    <row r="87" spans="4:5" ht="12.75">
      <c r="D87" s="35">
        <f>MIN(1.25*weight,50)</f>
        <v>0</v>
      </c>
      <c r="E87" s="35" t="s">
        <v>28</v>
      </c>
    </row>
    <row r="88" ht="13.5" thickBot="1"/>
    <row r="89" spans="2:3" ht="18.75" thickBot="1">
      <c r="B89" s="8"/>
      <c r="C89" s="4" t="s">
        <v>29</v>
      </c>
    </row>
    <row r="90" spans="3:6" s="6" customFormat="1" ht="12.75">
      <c r="C90" s="6" t="s">
        <v>84</v>
      </c>
      <c r="D90" s="41"/>
      <c r="E90" s="41"/>
      <c r="F90" s="41"/>
    </row>
    <row r="91" spans="3:7" ht="12.75">
      <c r="C91" s="43" t="s">
        <v>30</v>
      </c>
      <c r="D91" s="42">
        <f>MIN(5*weight,3000)</f>
        <v>0</v>
      </c>
      <c r="E91" s="42" t="s">
        <v>4</v>
      </c>
      <c r="F91" s="42">
        <f>MIN(7.5*weight,6000)</f>
        <v>0</v>
      </c>
      <c r="G91" t="s">
        <v>31</v>
      </c>
    </row>
    <row r="92" spans="3:5" ht="12.75">
      <c r="C92" s="43" t="s">
        <v>35</v>
      </c>
      <c r="D92" s="42">
        <f>5*weight</f>
        <v>0</v>
      </c>
      <c r="E92" s="35" t="s">
        <v>32</v>
      </c>
    </row>
    <row r="93" ht="12.75">
      <c r="D93" s="45" t="s">
        <v>36</v>
      </c>
    </row>
    <row r="94" ht="12.75">
      <c r="D94" s="45"/>
    </row>
    <row r="95" spans="3:6" ht="18">
      <c r="C95" s="7" t="s">
        <v>0</v>
      </c>
      <c r="D95" s="44">
        <f>D5</f>
        <v>0</v>
      </c>
      <c r="E95" s="36"/>
      <c r="F95" s="38"/>
    </row>
    <row r="96" spans="3:6" ht="18">
      <c r="C96" s="7" t="s">
        <v>1</v>
      </c>
      <c r="D96" s="46">
        <f>DOB</f>
        <v>0</v>
      </c>
      <c r="E96" s="39" t="s">
        <v>2</v>
      </c>
      <c r="F96" s="38">
        <f>F6</f>
      </c>
    </row>
    <row r="97" spans="3:6" ht="18">
      <c r="C97" s="7" t="s">
        <v>3</v>
      </c>
      <c r="D97" s="44">
        <f>weight</f>
        <v>0</v>
      </c>
      <c r="E97" s="40"/>
      <c r="F97" s="38"/>
    </row>
    <row r="99" ht="12.75">
      <c r="C99" s="3" t="str">
        <f>HYPERLINK("[Meds.xls]Sheet1!acetaminophenhydrocodone","hydrocodone with acetaminophen (see acetaminophen with hydrocodone)")</f>
        <v>hydrocodone with acetaminophen (see acetaminophen with hydrocodone)</v>
      </c>
    </row>
    <row r="100" ht="13.5" thickBot="1"/>
    <row r="101" spans="2:3" ht="18.75" thickBot="1">
      <c r="B101" s="8"/>
      <c r="C101" s="4" t="s">
        <v>64</v>
      </c>
    </row>
    <row r="102" spans="3:6" s="6" customFormat="1" ht="12.75">
      <c r="C102" s="6" t="s">
        <v>85</v>
      </c>
      <c r="D102" s="41"/>
      <c r="E102" s="41"/>
      <c r="F102" s="41"/>
    </row>
    <row r="103" spans="4:5" ht="12.75">
      <c r="D103" s="42">
        <f>MIN(0.015*weight,2)</f>
        <v>0</v>
      </c>
      <c r="E103" s="35" t="s">
        <v>33</v>
      </c>
    </row>
    <row r="104" spans="3:6" s="6" customFormat="1" ht="12.75">
      <c r="C104" s="6" t="s">
        <v>86</v>
      </c>
      <c r="D104" s="41"/>
      <c r="E104" s="41"/>
      <c r="F104" s="41"/>
    </row>
    <row r="105" spans="4:7" ht="12.75">
      <c r="D105" s="42">
        <f>MIN(0.03*weight,1)</f>
        <v>0</v>
      </c>
      <c r="E105" s="42" t="s">
        <v>4</v>
      </c>
      <c r="F105" s="42">
        <f>MIN(0.08*weight,4)</f>
        <v>0</v>
      </c>
      <c r="G105" t="s">
        <v>34</v>
      </c>
    </row>
    <row r="106" ht="13.5" thickBot="1"/>
    <row r="107" spans="2:3" ht="18.75" thickBot="1">
      <c r="B107" s="8"/>
      <c r="C107" s="4" t="s">
        <v>65</v>
      </c>
    </row>
    <row r="108" spans="3:6" s="6" customFormat="1" ht="12.75">
      <c r="C108" s="6" t="s">
        <v>87</v>
      </c>
      <c r="D108" s="41"/>
      <c r="E108" s="41"/>
      <c r="F108" s="41"/>
    </row>
    <row r="109" spans="4:7" ht="12.75">
      <c r="D109" s="42">
        <f>MIN(5*weight,400)</f>
        <v>0</v>
      </c>
      <c r="E109" s="42" t="s">
        <v>4</v>
      </c>
      <c r="F109" s="42">
        <f>MIN(10*weight,600)</f>
        <v>0</v>
      </c>
      <c r="G109" t="s">
        <v>10</v>
      </c>
    </row>
    <row r="110" ht="13.5" thickBot="1"/>
    <row r="111" spans="2:3" ht="18.75" thickBot="1">
      <c r="B111" s="8"/>
      <c r="C111" s="4" t="s">
        <v>66</v>
      </c>
    </row>
    <row r="112" ht="12.75">
      <c r="C112" s="6" t="s">
        <v>104</v>
      </c>
    </row>
    <row r="113" spans="4:5" ht="12.75">
      <c r="D113" s="42">
        <f>MIN(0.5*weight,30)</f>
        <v>0</v>
      </c>
      <c r="E113" s="35" t="s">
        <v>37</v>
      </c>
    </row>
    <row r="114" ht="13.5" thickBot="1"/>
    <row r="115" spans="2:3" ht="18.75" thickBot="1">
      <c r="B115" s="8"/>
      <c r="C115" s="4" t="s">
        <v>67</v>
      </c>
    </row>
    <row r="116" ht="12.75">
      <c r="C116" s="6" t="s">
        <v>88</v>
      </c>
    </row>
    <row r="117" spans="4:7" ht="12.75">
      <c r="D117" s="42">
        <f>IF(weight&lt;80,0.05*weight,"")</f>
        <v>0</v>
      </c>
      <c r="E117" s="42" t="str">
        <f>IF(weight&lt;80,"to","")</f>
        <v>to</v>
      </c>
      <c r="F117" s="42">
        <f>MIN(0.1*weight,4)</f>
        <v>0</v>
      </c>
      <c r="G117" t="s">
        <v>89</v>
      </c>
    </row>
    <row r="119" ht="12.75">
      <c r="C119" s="3" t="str">
        <f>HYPERLINK("[Meds.xls]Sheet1!acetaminophenhydrocodone","Lortab (see acetaminophen with hydrocodone)")</f>
        <v>Lortab (see acetaminophen with hydrocodone)</v>
      </c>
    </row>
    <row r="120" ht="13.5" thickBot="1"/>
    <row r="121" spans="2:3" ht="18.75" thickBot="1">
      <c r="B121" s="8"/>
      <c r="C121" s="4" t="s">
        <v>68</v>
      </c>
    </row>
    <row r="122" ht="12.75">
      <c r="C122" s="6" t="s">
        <v>90</v>
      </c>
    </row>
    <row r="123" spans="4:7" ht="12.75">
      <c r="D123" s="42">
        <f>IF(weight&lt;50,1*weight,"")</f>
        <v>0</v>
      </c>
      <c r="E123" s="42" t="str">
        <f>IF(weight&lt;50,"to","")</f>
        <v>to</v>
      </c>
      <c r="F123" s="42">
        <f>MIN(1.5*weight,50)</f>
        <v>0</v>
      </c>
      <c r="G123" t="s">
        <v>38</v>
      </c>
    </row>
    <row r="124" ht="12.75">
      <c r="C124" s="6" t="s">
        <v>135</v>
      </c>
    </row>
    <row r="125" spans="4:5" ht="12.75">
      <c r="D125" s="43" t="s">
        <v>39</v>
      </c>
      <c r="E125" s="35" t="str">
        <f>FLOOR((0.5*weight),0.1)&amp;" to "&amp;FLOOR((1*weight),0.1)&amp;" mg loading, then "&amp;FLOOR((0.3*weight),0.1)&amp;" to "&amp;FLOOR((0.7*weight),0.1)&amp;" mg/hour"</f>
        <v>0 to 0 mg loading, then 0 to 0 mg/hour</v>
      </c>
    </row>
    <row r="126" ht="13.5" thickBot="1"/>
    <row r="127" spans="2:3" ht="18.75" thickBot="1">
      <c r="B127" s="8"/>
      <c r="C127" s="4" t="s">
        <v>69</v>
      </c>
    </row>
    <row r="128" ht="12.75">
      <c r="C128" s="6" t="s">
        <v>91</v>
      </c>
    </row>
    <row r="129" ht="12.75">
      <c r="D129" s="43" t="s">
        <v>40</v>
      </c>
    </row>
    <row r="130" spans="4:5" ht="12.75">
      <c r="D130" s="42">
        <f>MIN(2*weight,60)</f>
        <v>0</v>
      </c>
      <c r="E130" s="35" t="s">
        <v>42</v>
      </c>
    </row>
    <row r="131" spans="4:5" ht="12.75">
      <c r="D131" s="42">
        <f>MIN(0.5*weight,15)</f>
        <v>0</v>
      </c>
      <c r="E131" s="35" t="s">
        <v>41</v>
      </c>
    </row>
    <row r="132" ht="12.75">
      <c r="C132" s="6" t="s">
        <v>92</v>
      </c>
    </row>
    <row r="133" ht="12.75">
      <c r="D133" s="43" t="s">
        <v>43</v>
      </c>
    </row>
    <row r="134" spans="4:7" ht="12.75">
      <c r="D134" s="42">
        <f>0.5*weight</f>
        <v>0</v>
      </c>
      <c r="E134" s="42" t="s">
        <v>4</v>
      </c>
      <c r="F134" s="42">
        <f>1.7*weight</f>
        <v>0</v>
      </c>
      <c r="G134" t="s">
        <v>44</v>
      </c>
    </row>
    <row r="135" ht="13.5" thickBot="1"/>
    <row r="136" spans="2:3" ht="18.75" thickBot="1">
      <c r="B136" s="8"/>
      <c r="C136" s="4" t="s">
        <v>70</v>
      </c>
    </row>
    <row r="137" ht="12.75">
      <c r="C137" s="6" t="s">
        <v>93</v>
      </c>
    </row>
    <row r="138" spans="4:7" ht="12.75">
      <c r="D138" s="42">
        <f ca="1">IF(ISBLANK(DOB),"",IF(DATEDIF(DOB,TODAY(),"y")&lt;5,0.05*weight,IF(DATEDIF(DOB,TODAY(),"y")&lt;12,0.025*weight,0.5)))</f>
      </c>
      <c r="E138" s="42">
        <f>IF(ISBLANK(DOB),"","to")</f>
      </c>
      <c r="F138" s="42">
        <f ca="1">IF(ISBLANK(DOB),0,IF(DATEDIF(DOB,TODAY(),"y")&lt;5,0.1*weight,IF(DATEDIF(DOB,TODAY(),"y")&lt;12,0.05*weight,2)))</f>
        <v>0</v>
      </c>
      <c r="G138" t="s">
        <v>45</v>
      </c>
    </row>
    <row r="139" ht="12.75">
      <c r="C139" s="6" t="s">
        <v>94</v>
      </c>
    </row>
    <row r="140" spans="4:7" ht="12.75">
      <c r="D140" s="42">
        <f>IF(weight&lt;80,0.25*weight,"")</f>
        <v>0</v>
      </c>
      <c r="E140" s="42" t="str">
        <f>IF(weight&lt;80,"to","")</f>
        <v>to</v>
      </c>
      <c r="F140" s="42">
        <f>MIN(0.5*weight,20)</f>
        <v>0</v>
      </c>
      <c r="G140" t="s">
        <v>46</v>
      </c>
    </row>
    <row r="141" spans="4:6" ht="12.75">
      <c r="D141" s="42"/>
      <c r="E141" s="42"/>
      <c r="F141" s="42"/>
    </row>
    <row r="142" spans="3:6" ht="18">
      <c r="C142" s="7" t="s">
        <v>0</v>
      </c>
      <c r="D142" s="44">
        <f>D5</f>
        <v>0</v>
      </c>
      <c r="E142" s="36"/>
      <c r="F142" s="38"/>
    </row>
    <row r="143" spans="3:6" ht="18">
      <c r="C143" s="7" t="s">
        <v>1</v>
      </c>
      <c r="D143" s="46">
        <f>DOB</f>
        <v>0</v>
      </c>
      <c r="E143" s="39" t="s">
        <v>2</v>
      </c>
      <c r="F143" s="38">
        <f>F96</f>
      </c>
    </row>
    <row r="144" spans="3:6" ht="18">
      <c r="C144" s="7" t="s">
        <v>3</v>
      </c>
      <c r="D144" s="44">
        <f>D97</f>
        <v>0</v>
      </c>
      <c r="E144" s="40"/>
      <c r="F144" s="38"/>
    </row>
    <row r="145" ht="13.5" thickBot="1"/>
    <row r="146" spans="2:3" ht="18.75" thickBot="1">
      <c r="B146" s="8"/>
      <c r="C146" s="4" t="s">
        <v>47</v>
      </c>
    </row>
    <row r="147" ht="12.75">
      <c r="C147" s="6" t="s">
        <v>131</v>
      </c>
    </row>
    <row r="148" spans="4:7" ht="12.75">
      <c r="D148" s="42">
        <f>IF(weight&lt;50,0.2*weight,"")</f>
        <v>0</v>
      </c>
      <c r="E148" s="42" t="str">
        <f>IF(weight&lt;80,"to","")</f>
        <v>to</v>
      </c>
      <c r="F148" s="42">
        <f>MIN(0.5*weight,10)</f>
        <v>0</v>
      </c>
      <c r="G148" t="s">
        <v>48</v>
      </c>
    </row>
    <row r="149" ht="12.75">
      <c r="C149" s="6" t="s">
        <v>132</v>
      </c>
    </row>
    <row r="150" spans="4:7" ht="12.75">
      <c r="D150" s="42">
        <f>IF(weight&lt;100,0.1*weight,"")</f>
        <v>0</v>
      </c>
      <c r="E150" s="42" t="str">
        <f>IF(weight&lt;80,"to","")</f>
        <v>to</v>
      </c>
      <c r="F150" s="42">
        <f>MIN(0.2*weight,10)</f>
        <v>0</v>
      </c>
      <c r="G150" t="s">
        <v>49</v>
      </c>
    </row>
    <row r="151" ht="12.75">
      <c r="C151" s="6" t="s">
        <v>95</v>
      </c>
    </row>
    <row r="152" spans="4:5" ht="12.75">
      <c r="D152" s="43" t="s">
        <v>39</v>
      </c>
      <c r="E152" s="35" t="str">
        <f>(0.01*weight)&amp;" to "&amp;(0.04*weight)&amp;" mg/hour"</f>
        <v>0 to 0 mg/hour</v>
      </c>
    </row>
    <row r="154" ht="12.75">
      <c r="C154" s="3" t="str">
        <f>HYPERLINK("[Meds.xls]Sheet1!cefdinir","Omnicef (see cefdinir)")</f>
        <v>Omnicef (see cefdinir)</v>
      </c>
    </row>
    <row r="155" ht="13.5" thickBot="1"/>
    <row r="156" spans="2:3" ht="18.75" thickBot="1">
      <c r="B156" s="8"/>
      <c r="C156" s="4" t="s">
        <v>71</v>
      </c>
    </row>
    <row r="157" spans="3:6" s="6" customFormat="1" ht="12.75">
      <c r="C157" s="6" t="s">
        <v>101</v>
      </c>
      <c r="D157" s="41"/>
      <c r="E157" s="41"/>
      <c r="F157" s="41"/>
    </row>
    <row r="158" ht="12.75">
      <c r="D158" s="35" t="str">
        <f>IF(weight&lt;8,"Dosage based on body surface area; clarify with physician",IF(weight&lt;15,"2 mg PO every 8 hours","4 mg PO every 8 hours"))</f>
        <v>Dosage based on body surface area; clarify with physician</v>
      </c>
    </row>
    <row r="159" spans="3:6" s="6" customFormat="1" ht="12.75">
      <c r="C159" s="6" t="s">
        <v>96</v>
      </c>
      <c r="D159" s="41"/>
      <c r="E159" s="41"/>
      <c r="F159" s="41"/>
    </row>
    <row r="160" spans="4:5" ht="12.75">
      <c r="D160" s="42">
        <f>MIN(0.1*weight,40)</f>
        <v>0</v>
      </c>
      <c r="E160" s="35" t="s">
        <v>11</v>
      </c>
    </row>
    <row r="162" ht="12.75">
      <c r="C162" s="3" t="str">
        <f>HYPERLINK("[Meds.xls]Sheet1!prednisolone","Orapred (see prednisolone)")</f>
        <v>Orapred (see prednisolone)</v>
      </c>
    </row>
    <row r="163" ht="13.5" thickBot="1"/>
    <row r="164" spans="2:3" ht="18.75" thickBot="1">
      <c r="B164" s="8"/>
      <c r="C164" s="4" t="s">
        <v>50</v>
      </c>
    </row>
    <row r="165" spans="3:6" s="6" customFormat="1" ht="12.75">
      <c r="C165" s="6" t="s">
        <v>97</v>
      </c>
      <c r="D165" s="41"/>
      <c r="E165" s="41"/>
      <c r="F165" s="41"/>
    </row>
    <row r="166" spans="4:7" ht="12.75">
      <c r="D166" s="42">
        <f>MIN(12.5*weight,500)</f>
        <v>0</v>
      </c>
      <c r="E166" s="42" t="s">
        <v>4</v>
      </c>
      <c r="F166" s="42">
        <f>MIN(25*weight,1000)</f>
        <v>0</v>
      </c>
      <c r="G166" t="s">
        <v>51</v>
      </c>
    </row>
    <row r="167" spans="3:6" s="6" customFormat="1" ht="12.75">
      <c r="C167" s="6" t="s">
        <v>105</v>
      </c>
      <c r="D167" s="41"/>
      <c r="E167" s="41"/>
      <c r="F167" s="41"/>
    </row>
    <row r="168" spans="4:7" ht="12.75">
      <c r="D168" s="42">
        <f>MIN(100*weight,1500)</f>
        <v>0</v>
      </c>
      <c r="E168" s="42" t="s">
        <v>4</v>
      </c>
      <c r="F168" s="42">
        <f>MIN(200*weight,12000)</f>
        <v>0</v>
      </c>
      <c r="G168" t="s">
        <v>52</v>
      </c>
    </row>
    <row r="169" ht="13.5" thickBot="1"/>
    <row r="170" spans="2:3" ht="18.75" thickBot="1">
      <c r="B170" s="8"/>
      <c r="C170" s="4" t="s">
        <v>72</v>
      </c>
    </row>
    <row r="171" spans="3:6" s="6" customFormat="1" ht="12.75">
      <c r="C171" s="6" t="s">
        <v>136</v>
      </c>
      <c r="D171" s="41"/>
      <c r="E171" s="41"/>
      <c r="F171" s="41"/>
    </row>
    <row r="172" spans="4:7" ht="12.75">
      <c r="D172" s="42">
        <f ca="1">IF(DATEDIF(DOB,TODAY(),"m")&lt;6,0.15*weight,MIN(0.3*weight,12))</f>
        <v>0</v>
      </c>
      <c r="E172" s="42" t="s">
        <v>4</v>
      </c>
      <c r="F172" s="42">
        <f ca="1">IF(DATEDIF(DOB,TODAY(),"m")&lt;6,0.3*weight,MIN(0.4*weight,16))</f>
        <v>0</v>
      </c>
      <c r="G172" t="s">
        <v>106</v>
      </c>
    </row>
    <row r="173" ht="13.5" thickBot="1"/>
    <row r="174" spans="2:3" ht="18.75" thickBot="1">
      <c r="B174" s="8"/>
      <c r="C174" s="4" t="s">
        <v>73</v>
      </c>
    </row>
    <row r="175" spans="3:6" s="6" customFormat="1" ht="12.75">
      <c r="C175" s="6" t="s">
        <v>100</v>
      </c>
      <c r="D175" s="41"/>
      <c r="E175" s="41"/>
      <c r="F175" s="41"/>
    </row>
    <row r="176" spans="4:7" ht="12.75">
      <c r="D176" s="42">
        <f>IF(weight&lt;60,weight,"")</f>
        <v>0</v>
      </c>
      <c r="E176" s="42" t="str">
        <f>IF(weight&lt;60,"to","")</f>
        <v>to</v>
      </c>
      <c r="F176" s="42">
        <f>MIN(2*weight,60)</f>
        <v>0</v>
      </c>
      <c r="G176" t="s">
        <v>53</v>
      </c>
    </row>
    <row r="178" ht="12.75">
      <c r="C178" s="3" t="str">
        <f>HYPERLINK("[Meds.xls]Sheet1!methylprednisolone","Solu-Medrol (see methylprednisolone)")</f>
        <v>Solu-Medrol (see methylprednisolone)</v>
      </c>
    </row>
    <row r="180" ht="12.75">
      <c r="C180" s="3" t="str">
        <f>HYPERLINK("[Meds.xls]Sheet1!ketorolac","Toradol (see ketorolac)")</f>
        <v>Toradol (see ketorolac)</v>
      </c>
    </row>
    <row r="182" ht="12.75">
      <c r="C182" s="3" t="str">
        <f>HYPERLINK("[Meds.xls]Sheet1!acetaminophen","Tylenol (see acetaminophen)")</f>
        <v>Tylenol (see acetaminophen)</v>
      </c>
    </row>
    <row r="184" ht="12.75">
      <c r="C184" s="3" t="str">
        <f>HYPERLINK("[Meds.xls]Sheet1!acetaminophencodeine","Tylenol with codeinen(see acetaminophencodeine)")</f>
        <v>Tylenol with codeinen(see acetaminophencodeine)</v>
      </c>
    </row>
    <row r="186" ht="12.75">
      <c r="C186" s="3" t="str">
        <f>HYPERLINK("[Meds.xls]Sheet1!ampicillinsulbactam","Unasyn (see ampicillin/sulbactam)")</f>
        <v>Unasyn (see ampicillin/sulbactam)</v>
      </c>
    </row>
    <row r="187" ht="12.75">
      <c r="C187" s="3"/>
    </row>
    <row r="188" spans="3:6" ht="18">
      <c r="C188" s="7" t="s">
        <v>0</v>
      </c>
      <c r="D188" s="44"/>
      <c r="E188" s="36"/>
      <c r="F188" s="38"/>
    </row>
    <row r="189" spans="3:6" ht="18">
      <c r="C189" s="7" t="s">
        <v>1</v>
      </c>
      <c r="D189" s="46">
        <f>DOB</f>
        <v>0</v>
      </c>
      <c r="E189" s="39" t="s">
        <v>2</v>
      </c>
      <c r="F189" s="38">
        <f>F6</f>
      </c>
    </row>
    <row r="190" spans="3:6" ht="18">
      <c r="C190" s="7" t="s">
        <v>3</v>
      </c>
      <c r="D190" s="44">
        <f>weight</f>
        <v>0</v>
      </c>
      <c r="E190" s="40"/>
      <c r="F190" s="38"/>
    </row>
    <row r="191" ht="13.5" thickBot="1"/>
    <row r="192" spans="2:3" ht="18.75" thickBot="1">
      <c r="B192" s="8"/>
      <c r="C192" s="4" t="s">
        <v>54</v>
      </c>
    </row>
    <row r="193" spans="3:6" s="6" customFormat="1" ht="12.75">
      <c r="C193" s="6" t="s">
        <v>114</v>
      </c>
      <c r="D193" s="41"/>
      <c r="E193" s="41"/>
      <c r="F193" s="41"/>
    </row>
    <row r="194" spans="3:7" ht="12.75">
      <c r="C194" s="2"/>
      <c r="D194" s="42">
        <f>IF(weight&lt;100,10*weight,"")</f>
        <v>0</v>
      </c>
      <c r="E194" s="42" t="str">
        <f>IF(weight&lt;100,"to","")</f>
        <v>to</v>
      </c>
      <c r="F194" s="42">
        <f>MIN(20*weight,1000)</f>
        <v>0</v>
      </c>
      <c r="G194" t="s">
        <v>55</v>
      </c>
    </row>
    <row r="195" spans="3:4" ht="12.75">
      <c r="C195" s="2"/>
      <c r="D195" s="45" t="s">
        <v>36</v>
      </c>
    </row>
    <row r="196" spans="3:4" ht="12.75">
      <c r="C196" s="2"/>
      <c r="D196" s="45"/>
    </row>
    <row r="198" ht="12.75">
      <c r="C198" s="3" t="str">
        <f>HYPERLINK("[Meds.xls]Sheet1!midazolam","Versed (see midazolam)")</f>
        <v>Versed (see midazolam)</v>
      </c>
    </row>
    <row r="200" ht="12.75">
      <c r="C200" s="3" t="str">
        <f>HYPERLINK("[Meds.xls]Sheet1!acetaminophenhydrocodone","Vicodin (see acetaminophen with hydrocodone)")</f>
        <v>Vicodin (see acetaminophen with hydrocodone)</v>
      </c>
    </row>
    <row r="202" ht="12.75">
      <c r="C202" s="3" t="str">
        <f>HYPERLINK("[Meds.xls]Sheet1!azithromycin","Zithromax (see azithromycin)")</f>
        <v>Zithromax (see azithromycin)</v>
      </c>
    </row>
    <row r="204" ht="12.75">
      <c r="C204" s="3" t="str">
        <f>HYPERLINK("[Meds.xls]Sheet1!ondansetron","Zofran (see ondansetron)")</f>
        <v>Zofran (see ondansetron)</v>
      </c>
    </row>
    <row r="206" ht="12.75">
      <c r="C206" s="3" t="str">
        <f>HYPERLINK("[Meds.xls]Sheet1!piperacillintazopbactam","Zosyn (see piperacillin/tazobactam)")</f>
        <v>Zosyn (see piperacillin/tazobactam)</v>
      </c>
    </row>
    <row r="208" ht="12.75">
      <c r="C208" s="3" t="str">
        <f>HYPERLINK("[Meds.xls]Sheet1!acyclovir","Zovirax (see acyclovir)")</f>
        <v>Zovirax (see acyclovir)</v>
      </c>
    </row>
  </sheetData>
  <sheetProtection sheet="1" objects="1" scenarios="1"/>
  <printOptions/>
  <pageMargins left="0.5" right="0.5" top="1" bottom="1" header="0.5" footer="0.5"/>
  <pageSetup horizontalDpi="600" verticalDpi="600" orientation="portrait" scale="96" r:id="rId2"/>
  <headerFooter alignWithMargins="0">
    <oddHeader>&amp;LPediatric Medication Calculation Sheet
&amp;R&amp;P of &amp;N</oddHeader>
    <oddFooter>&amp;LLast modified 6/22/2010&amp;R&amp;"Arial,Bold Italic"&amp;11&amp;K01+048Affix patient label here&amp;"Arial,Regular"&amp;10&amp;K000000
</oddFooter>
  </headerFooter>
  <rowBreaks count="4" manualBreakCount="4">
    <brk id="46" max="255" man="1"/>
    <brk id="93" max="255" man="1"/>
    <brk id="140" max="255" man="1"/>
    <brk id="1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B24" sqref="B24:B28"/>
    </sheetView>
  </sheetViews>
  <sheetFormatPr defaultColWidth="9.140625" defaultRowHeight="12.75"/>
  <cols>
    <col min="1" max="1" width="22.7109375" style="0" customWidth="1"/>
    <col min="2" max="2" width="29.8515625" style="0" customWidth="1"/>
    <col min="3" max="3" width="1.28515625" style="0" customWidth="1"/>
    <col min="4" max="4" width="9.421875" style="0" customWidth="1"/>
    <col min="5" max="5" width="10.8515625" style="0" customWidth="1"/>
    <col min="8" max="8" width="6.8515625" style="0" customWidth="1"/>
    <col min="9" max="9" width="4.421875" style="0" customWidth="1"/>
  </cols>
  <sheetData>
    <row r="2" spans="2:4" ht="18">
      <c r="B2" s="25" t="s">
        <v>127</v>
      </c>
      <c r="D2" s="21">
        <f>Calculations!D5</f>
        <v>0</v>
      </c>
    </row>
    <row r="3" spans="4:6" ht="12.75">
      <c r="D3" s="2"/>
      <c r="E3" s="2"/>
      <c r="F3" s="2"/>
    </row>
    <row r="5" spans="1:9" ht="15" customHeight="1">
      <c r="A5" s="26" t="s">
        <v>116</v>
      </c>
      <c r="B5" s="27"/>
      <c r="D5" s="30" t="s">
        <v>119</v>
      </c>
      <c r="E5" s="48">
        <f>weight</f>
        <v>0</v>
      </c>
      <c r="F5" s="48"/>
      <c r="G5" s="48"/>
      <c r="H5" s="48"/>
      <c r="I5" s="49"/>
    </row>
    <row r="6" spans="1:9" ht="15" customHeight="1">
      <c r="A6" s="26" t="s">
        <v>117</v>
      </c>
      <c r="B6" s="27"/>
      <c r="D6" s="30" t="s">
        <v>120</v>
      </c>
      <c r="E6" s="23"/>
      <c r="F6" s="23"/>
      <c r="G6" s="48"/>
      <c r="H6" s="48"/>
      <c r="I6" s="49"/>
    </row>
    <row r="7" spans="1:9" ht="15" customHeight="1">
      <c r="A7" s="26" t="s">
        <v>118</v>
      </c>
      <c r="B7" s="27"/>
      <c r="D7" s="30" t="s">
        <v>121</v>
      </c>
      <c r="E7" s="23"/>
      <c r="F7" s="48"/>
      <c r="G7" s="48"/>
      <c r="H7" s="48"/>
      <c r="I7" s="49"/>
    </row>
    <row r="8" spans="1:9" ht="5.25" customHeight="1">
      <c r="A8" s="29"/>
      <c r="B8" s="28"/>
      <c r="D8" s="31"/>
      <c r="E8" s="32"/>
      <c r="F8" s="32"/>
      <c r="G8" s="32"/>
      <c r="H8" s="32"/>
      <c r="I8" s="28"/>
    </row>
    <row r="9" spans="1:9" ht="12.75">
      <c r="A9" s="12" t="s">
        <v>122</v>
      </c>
      <c r="B9" s="55"/>
      <c r="C9" s="9"/>
      <c r="D9" s="12" t="s">
        <v>128</v>
      </c>
      <c r="E9" s="17"/>
      <c r="F9" s="50"/>
      <c r="G9" s="50"/>
      <c r="H9" s="50"/>
      <c r="I9" s="51"/>
    </row>
    <row r="10" spans="1:9" ht="12.75">
      <c r="A10" s="11"/>
      <c r="B10" s="55"/>
      <c r="C10" s="9"/>
      <c r="D10" s="12" t="s">
        <v>129</v>
      </c>
      <c r="E10" s="17"/>
      <c r="F10" s="50"/>
      <c r="G10" s="50"/>
      <c r="H10" s="50"/>
      <c r="I10" s="51"/>
    </row>
    <row r="11" spans="1:9" ht="12.75">
      <c r="A11" s="11"/>
      <c r="B11" s="55"/>
      <c r="C11" s="9"/>
      <c r="D11" s="11"/>
      <c r="E11" s="17"/>
      <c r="F11" s="50"/>
      <c r="G11" s="50"/>
      <c r="H11" s="50"/>
      <c r="I11" s="51"/>
    </row>
    <row r="12" spans="1:9" ht="45" customHeight="1">
      <c r="A12" s="11"/>
      <c r="B12" s="55"/>
      <c r="C12" s="9"/>
      <c r="D12" s="11"/>
      <c r="E12" s="17"/>
      <c r="F12" s="50"/>
      <c r="G12" s="50"/>
      <c r="H12" s="50"/>
      <c r="I12" s="51"/>
    </row>
    <row r="13" spans="1:9" ht="12.75">
      <c r="A13" s="33"/>
      <c r="B13" s="56"/>
      <c r="C13" s="9"/>
      <c r="D13" s="33"/>
      <c r="E13" s="34"/>
      <c r="F13" s="52"/>
      <c r="G13" s="52"/>
      <c r="H13" s="52"/>
      <c r="I13" s="53"/>
    </row>
    <row r="14" spans="1:9" ht="7.5" customHeight="1">
      <c r="A14" s="11"/>
      <c r="B14" s="10"/>
      <c r="D14" s="11"/>
      <c r="E14" s="17"/>
      <c r="F14" s="17"/>
      <c r="G14" s="17"/>
      <c r="H14" s="17"/>
      <c r="I14" s="10"/>
    </row>
    <row r="15" spans="1:9" ht="12.75">
      <c r="A15" s="13" t="s">
        <v>124</v>
      </c>
      <c r="B15" s="14"/>
      <c r="C15" s="6"/>
      <c r="D15" s="13" t="s">
        <v>125</v>
      </c>
      <c r="E15" s="18"/>
      <c r="F15" s="17"/>
      <c r="G15" s="17"/>
      <c r="H15" s="17"/>
      <c r="I15" s="10"/>
    </row>
    <row r="16" spans="1:9" ht="6" customHeight="1">
      <c r="A16" s="13"/>
      <c r="B16" s="14"/>
      <c r="C16" s="6"/>
      <c r="D16" s="13"/>
      <c r="E16" s="18"/>
      <c r="F16" s="17"/>
      <c r="G16" s="17"/>
      <c r="H16" s="17"/>
      <c r="I16" s="10"/>
    </row>
    <row r="17" spans="1:9" ht="12.75">
      <c r="A17" s="13" t="s">
        <v>123</v>
      </c>
      <c r="B17" s="10"/>
      <c r="D17" s="13" t="s">
        <v>126</v>
      </c>
      <c r="E17" s="17"/>
      <c r="F17" s="17"/>
      <c r="G17" s="17"/>
      <c r="H17" s="17"/>
      <c r="I17" s="10"/>
    </row>
    <row r="18" spans="1:9" ht="8.25" customHeight="1" thickBot="1">
      <c r="A18" s="15"/>
      <c r="B18" s="16"/>
      <c r="D18" s="19"/>
      <c r="E18" s="20"/>
      <c r="F18" s="20"/>
      <c r="G18" s="20"/>
      <c r="H18" s="20"/>
      <c r="I18" s="16"/>
    </row>
    <row r="19" ht="5.25" customHeight="1"/>
    <row r="20" spans="1:9" ht="15" customHeight="1">
      <c r="A20" s="26" t="s">
        <v>116</v>
      </c>
      <c r="B20" s="27"/>
      <c r="D20" s="30" t="s">
        <v>119</v>
      </c>
      <c r="E20" s="48">
        <f>weight</f>
        <v>0</v>
      </c>
      <c r="F20" s="48"/>
      <c r="G20" s="48"/>
      <c r="H20" s="48"/>
      <c r="I20" s="49"/>
    </row>
    <row r="21" spans="1:9" ht="15" customHeight="1">
      <c r="A21" s="26" t="s">
        <v>117</v>
      </c>
      <c r="B21" s="27"/>
      <c r="D21" s="30" t="s">
        <v>120</v>
      </c>
      <c r="E21" s="23"/>
      <c r="F21" s="23"/>
      <c r="G21" s="48"/>
      <c r="H21" s="48"/>
      <c r="I21" s="49"/>
    </row>
    <row r="22" spans="1:9" ht="15" customHeight="1">
      <c r="A22" s="26" t="s">
        <v>118</v>
      </c>
      <c r="B22" s="27"/>
      <c r="D22" s="30" t="s">
        <v>121</v>
      </c>
      <c r="E22" s="23"/>
      <c r="F22" s="48"/>
      <c r="G22" s="48"/>
      <c r="H22" s="48"/>
      <c r="I22" s="49"/>
    </row>
    <row r="23" spans="1:9" ht="6" customHeight="1">
      <c r="A23" s="29"/>
      <c r="B23" s="28"/>
      <c r="D23" s="31"/>
      <c r="E23" s="32"/>
      <c r="F23" s="32"/>
      <c r="G23" s="32"/>
      <c r="H23" s="32"/>
      <c r="I23" s="28"/>
    </row>
    <row r="24" spans="1:9" ht="12.75">
      <c r="A24" s="12" t="s">
        <v>122</v>
      </c>
      <c r="B24" s="55"/>
      <c r="D24" s="12" t="s">
        <v>128</v>
      </c>
      <c r="E24" s="17"/>
      <c r="F24" s="50"/>
      <c r="G24" s="50"/>
      <c r="H24" s="50"/>
      <c r="I24" s="51"/>
    </row>
    <row r="25" spans="1:9" ht="12.75">
      <c r="A25" s="11"/>
      <c r="B25" s="55"/>
      <c r="D25" s="12" t="s">
        <v>129</v>
      </c>
      <c r="E25" s="17"/>
      <c r="F25" s="50"/>
      <c r="G25" s="50"/>
      <c r="H25" s="50"/>
      <c r="I25" s="51"/>
    </row>
    <row r="26" spans="1:9" ht="12.75">
      <c r="A26" s="11"/>
      <c r="B26" s="55"/>
      <c r="D26" s="11"/>
      <c r="E26" s="17"/>
      <c r="F26" s="50"/>
      <c r="G26" s="50"/>
      <c r="H26" s="50"/>
      <c r="I26" s="51"/>
    </row>
    <row r="27" spans="1:9" ht="45" customHeight="1">
      <c r="A27" s="11"/>
      <c r="B27" s="55"/>
      <c r="D27" s="11"/>
      <c r="E27" s="17"/>
      <c r="F27" s="50"/>
      <c r="G27" s="50"/>
      <c r="H27" s="50"/>
      <c r="I27" s="51"/>
    </row>
    <row r="28" spans="1:9" ht="12.75">
      <c r="A28" s="33"/>
      <c r="B28" s="56"/>
      <c r="D28" s="33"/>
      <c r="E28" s="34"/>
      <c r="F28" s="52"/>
      <c r="G28" s="52"/>
      <c r="H28" s="52"/>
      <c r="I28" s="53"/>
    </row>
    <row r="29" spans="1:9" ht="6.75" customHeight="1">
      <c r="A29" s="11"/>
      <c r="B29" s="10"/>
      <c r="D29" s="11"/>
      <c r="E29" s="17"/>
      <c r="F29" s="17"/>
      <c r="G29" s="17"/>
      <c r="H29" s="17"/>
      <c r="I29" s="10"/>
    </row>
    <row r="30" spans="1:9" ht="12.75">
      <c r="A30" s="13" t="s">
        <v>124</v>
      </c>
      <c r="B30" s="14"/>
      <c r="D30" s="13" t="s">
        <v>125</v>
      </c>
      <c r="E30" s="18"/>
      <c r="F30" s="17"/>
      <c r="G30" s="17"/>
      <c r="H30" s="17"/>
      <c r="I30" s="10"/>
    </row>
    <row r="31" spans="1:9" ht="6" customHeight="1">
      <c r="A31" s="13"/>
      <c r="B31" s="14"/>
      <c r="D31" s="13"/>
      <c r="E31" s="18"/>
      <c r="F31" s="17"/>
      <c r="G31" s="17"/>
      <c r="H31" s="17"/>
      <c r="I31" s="10"/>
    </row>
    <row r="32" spans="1:9" ht="12.75">
      <c r="A32" s="13" t="s">
        <v>123</v>
      </c>
      <c r="B32" s="10"/>
      <c r="D32" s="13" t="s">
        <v>126</v>
      </c>
      <c r="E32" s="17"/>
      <c r="F32" s="17"/>
      <c r="G32" s="17"/>
      <c r="H32" s="17"/>
      <c r="I32" s="10"/>
    </row>
    <row r="33" spans="1:9" ht="6" customHeight="1" thickBot="1">
      <c r="A33" s="15"/>
      <c r="B33" s="16"/>
      <c r="D33" s="19"/>
      <c r="E33" s="20"/>
      <c r="F33" s="20"/>
      <c r="G33" s="20"/>
      <c r="H33" s="20"/>
      <c r="I33" s="16"/>
    </row>
    <row r="34" ht="5.25" customHeight="1"/>
    <row r="35" spans="1:9" ht="15" customHeight="1">
      <c r="A35" s="26" t="s">
        <v>116</v>
      </c>
      <c r="B35" s="27"/>
      <c r="D35" s="30" t="s">
        <v>119</v>
      </c>
      <c r="E35" s="48">
        <f>weight</f>
        <v>0</v>
      </c>
      <c r="F35" s="48"/>
      <c r="G35" s="48"/>
      <c r="H35" s="48"/>
      <c r="I35" s="49"/>
    </row>
    <row r="36" spans="1:9" ht="15" customHeight="1">
      <c r="A36" s="26" t="s">
        <v>117</v>
      </c>
      <c r="B36" s="27"/>
      <c r="D36" s="30" t="s">
        <v>120</v>
      </c>
      <c r="E36" s="23"/>
      <c r="F36" s="23"/>
      <c r="G36" s="48"/>
      <c r="H36" s="48"/>
      <c r="I36" s="49"/>
    </row>
    <row r="37" spans="1:9" ht="15" customHeight="1">
      <c r="A37" s="26" t="s">
        <v>118</v>
      </c>
      <c r="B37" s="27"/>
      <c r="D37" s="30" t="s">
        <v>121</v>
      </c>
      <c r="E37" s="23"/>
      <c r="F37" s="48"/>
      <c r="G37" s="48"/>
      <c r="H37" s="48"/>
      <c r="I37" s="49"/>
    </row>
    <row r="38" spans="1:9" ht="6.75" customHeight="1">
      <c r="A38" s="29"/>
      <c r="B38" s="28"/>
      <c r="D38" s="31"/>
      <c r="E38" s="32"/>
      <c r="F38" s="32"/>
      <c r="G38" s="32"/>
      <c r="H38" s="32"/>
      <c r="I38" s="28"/>
    </row>
    <row r="39" spans="1:9" ht="12.75">
      <c r="A39" s="12" t="s">
        <v>122</v>
      </c>
      <c r="B39" s="55"/>
      <c r="D39" s="12" t="s">
        <v>128</v>
      </c>
      <c r="E39" s="17"/>
      <c r="F39" s="50"/>
      <c r="G39" s="50"/>
      <c r="H39" s="50"/>
      <c r="I39" s="51"/>
    </row>
    <row r="40" spans="1:9" ht="12.75">
      <c r="A40" s="11"/>
      <c r="B40" s="55"/>
      <c r="D40" s="12" t="s">
        <v>133</v>
      </c>
      <c r="E40" s="17"/>
      <c r="F40" s="50"/>
      <c r="G40" s="50"/>
      <c r="H40" s="50"/>
      <c r="I40" s="51"/>
    </row>
    <row r="41" spans="1:9" ht="45" customHeight="1">
      <c r="A41" s="11"/>
      <c r="B41" s="55"/>
      <c r="D41" s="11"/>
      <c r="E41" s="17"/>
      <c r="F41" s="50"/>
      <c r="G41" s="50"/>
      <c r="H41" s="50"/>
      <c r="I41" s="51"/>
    </row>
    <row r="42" spans="1:9" ht="12.75">
      <c r="A42" s="11"/>
      <c r="B42" s="55"/>
      <c r="D42" s="11"/>
      <c r="E42" s="17"/>
      <c r="F42" s="50"/>
      <c r="G42" s="50"/>
      <c r="H42" s="50"/>
      <c r="I42" s="51"/>
    </row>
    <row r="43" spans="1:9" ht="12.75">
      <c r="A43" s="33"/>
      <c r="B43" s="56"/>
      <c r="D43" s="33"/>
      <c r="E43" s="34"/>
      <c r="F43" s="52"/>
      <c r="G43" s="52"/>
      <c r="H43" s="52"/>
      <c r="I43" s="53"/>
    </row>
    <row r="44" spans="1:9" ht="6.75" customHeight="1">
      <c r="A44" s="11"/>
      <c r="B44" s="10"/>
      <c r="D44" s="11"/>
      <c r="E44" s="17"/>
      <c r="F44" s="17"/>
      <c r="G44" s="17"/>
      <c r="H44" s="17"/>
      <c r="I44" s="10"/>
    </row>
    <row r="45" spans="1:9" ht="12.75">
      <c r="A45" s="13" t="s">
        <v>124</v>
      </c>
      <c r="B45" s="14"/>
      <c r="D45" s="13" t="s">
        <v>125</v>
      </c>
      <c r="E45" s="18"/>
      <c r="F45" s="17"/>
      <c r="G45" s="17"/>
      <c r="H45" s="17"/>
      <c r="I45" s="10"/>
    </row>
    <row r="46" spans="1:9" ht="6" customHeight="1">
      <c r="A46" s="13"/>
      <c r="B46" s="14"/>
      <c r="D46" s="13"/>
      <c r="E46" s="18"/>
      <c r="F46" s="17"/>
      <c r="G46" s="17"/>
      <c r="H46" s="17"/>
      <c r="I46" s="10"/>
    </row>
    <row r="47" spans="1:9" ht="12.75">
      <c r="A47" s="13" t="s">
        <v>123</v>
      </c>
      <c r="B47" s="10"/>
      <c r="D47" s="13" t="s">
        <v>126</v>
      </c>
      <c r="E47" s="17"/>
      <c r="F47" s="17"/>
      <c r="G47" s="17"/>
      <c r="H47" s="17"/>
      <c r="I47" s="10"/>
    </row>
    <row r="48" spans="1:9" ht="5.25" customHeight="1" thickBot="1">
      <c r="A48" s="15"/>
      <c r="B48" s="16"/>
      <c r="D48" s="19"/>
      <c r="E48" s="20"/>
      <c r="F48" s="20"/>
      <c r="G48" s="20"/>
      <c r="H48" s="20"/>
      <c r="I48" s="16"/>
    </row>
    <row r="50" spans="1:9" ht="77.25" customHeight="1">
      <c r="A50" s="54" t="s">
        <v>134</v>
      </c>
      <c r="B50" s="54"/>
      <c r="E50" s="22"/>
      <c r="F50" s="23"/>
      <c r="G50" s="23"/>
      <c r="H50" s="23"/>
      <c r="I50" s="24"/>
    </row>
  </sheetData>
  <sheetProtection sheet="1" objects="1" scenarios="1"/>
  <mergeCells count="16">
    <mergeCell ref="E5:I5"/>
    <mergeCell ref="A50:B50"/>
    <mergeCell ref="F24:I28"/>
    <mergeCell ref="E35:I35"/>
    <mergeCell ref="G36:I36"/>
    <mergeCell ref="F37:I37"/>
    <mergeCell ref="B39:B43"/>
    <mergeCell ref="B9:B13"/>
    <mergeCell ref="F9:I13"/>
    <mergeCell ref="B24:B28"/>
    <mergeCell ref="G6:I6"/>
    <mergeCell ref="F7:I7"/>
    <mergeCell ref="F39:I43"/>
    <mergeCell ref="E20:I20"/>
    <mergeCell ref="G21:I21"/>
    <mergeCell ref="F22:I22"/>
  </mergeCells>
  <printOptions/>
  <pageMargins left="0.25" right="0.2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Luke's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brocja</dc:creator>
  <cp:keywords/>
  <dc:description/>
  <cp:lastModifiedBy>Daniel Wachsstock</cp:lastModifiedBy>
  <cp:lastPrinted>2011-02-25T00:36:52Z</cp:lastPrinted>
  <dcterms:created xsi:type="dcterms:W3CDTF">2009-10-02T16:23:10Z</dcterms:created>
  <dcterms:modified xsi:type="dcterms:W3CDTF">2011-02-25T00:40:48Z</dcterms:modified>
  <cp:category/>
  <cp:version/>
  <cp:contentType/>
  <cp:contentStatus/>
</cp:coreProperties>
</file>